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E774DB49-93DC-4D79-BA96-2E346F25BF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4" sheetId="3" r:id="rId1"/>
    <sheet name="Приложение 2" sheetId="6" r:id="rId2"/>
    <sheet name="Приложение 5" sheetId="2" r:id="rId3"/>
    <sheet name="Приложение 6" sheetId="4" r:id="rId4"/>
  </sheets>
  <definedNames>
    <definedName name="_xlnm.Print_Area" localSheetId="1">'Приложение 2'!$A$1:$FE$22</definedName>
  </definedNames>
  <calcPr calcId="191029" refMode="R1C1"/>
</workbook>
</file>

<file path=xl/calcChain.xml><?xml version="1.0" encoding="utf-8"?>
<calcChain xmlns="http://schemas.openxmlformats.org/spreadsheetml/2006/main">
  <c r="N15" i="4" l="1"/>
  <c r="E16" i="3" l="1"/>
  <c r="R15" i="4"/>
  <c r="S15" i="4"/>
  <c r="T15" i="4"/>
  <c r="T14" i="4"/>
  <c r="T13" i="4"/>
  <c r="V13" i="4"/>
  <c r="V14" i="4"/>
  <c r="V15" i="4"/>
  <c r="N13" i="4"/>
  <c r="D13" i="4"/>
  <c r="F13" i="4" l="1"/>
  <c r="F15" i="4"/>
  <c r="T17" i="2"/>
  <c r="C20" i="3"/>
  <c r="C19" i="3"/>
  <c r="S14" i="4" l="1"/>
  <c r="S13" i="4"/>
  <c r="N14" i="4"/>
  <c r="P14" i="4" s="1"/>
  <c r="P13" i="4"/>
  <c r="M20" i="3"/>
  <c r="J13" i="4" l="1"/>
  <c r="L20" i="3"/>
  <c r="K20" i="3"/>
  <c r="J20" i="3"/>
  <c r="K17" i="3"/>
  <c r="J17" i="3"/>
  <c r="M17" i="3"/>
  <c r="L17" i="3"/>
  <c r="M19" i="3"/>
  <c r="L19" i="3"/>
  <c r="K16" i="3"/>
  <c r="J16" i="3"/>
  <c r="K19" i="3"/>
  <c r="J19" i="3"/>
  <c r="G20" i="3"/>
  <c r="I19" i="3"/>
  <c r="H19" i="3"/>
  <c r="H16" i="3"/>
  <c r="T13" i="2" l="1"/>
  <c r="G17" i="3"/>
  <c r="F17" i="3" l="1"/>
  <c r="F20" i="3"/>
  <c r="G19" i="3"/>
  <c r="F19" i="3"/>
  <c r="E7" i="3"/>
  <c r="J7" i="4"/>
  <c r="O14" i="2"/>
  <c r="O16" i="2"/>
  <c r="Y13" i="2"/>
  <c r="T15" i="2"/>
  <c r="Y17" i="2"/>
  <c r="Y15" i="2" l="1"/>
  <c r="I17" i="3"/>
  <c r="H17" i="3"/>
  <c r="M16" i="3"/>
  <c r="G21" i="3" l="1"/>
  <c r="F21" i="3"/>
  <c r="M21" i="3"/>
  <c r="L21" i="3"/>
  <c r="K21" i="3"/>
  <c r="J21" i="3"/>
  <c r="M18" i="3"/>
  <c r="K18" i="3"/>
  <c r="J18" i="3"/>
  <c r="I18" i="3"/>
  <c r="H18" i="3"/>
  <c r="C18" i="3"/>
  <c r="N16" i="2"/>
  <c r="S16" i="2" s="1"/>
  <c r="X16" i="2" s="1"/>
  <c r="N14" i="2"/>
  <c r="X17" i="2"/>
  <c r="S13" i="2"/>
  <c r="X13" i="2" s="1"/>
  <c r="S15" i="2"/>
  <c r="X15" i="2" s="1"/>
  <c r="S17" i="2"/>
  <c r="F16" i="3" l="1"/>
  <c r="F18" i="3" s="1"/>
  <c r="E17" i="3"/>
  <c r="E18" i="3" l="1"/>
  <c r="E20" i="3"/>
  <c r="E19" i="3"/>
  <c r="P15" i="4"/>
  <c r="J14" i="4"/>
  <c r="I14" i="4"/>
  <c r="F14" i="4"/>
  <c r="E21" i="3" l="1"/>
  <c r="O13" i="4"/>
  <c r="J15" i="4"/>
  <c r="I15" i="4"/>
  <c r="L13" i="4"/>
  <c r="I13" i="4"/>
  <c r="O15" i="4" l="1"/>
  <c r="L16" i="3" l="1"/>
  <c r="L18" i="3" s="1"/>
  <c r="G16" i="3"/>
  <c r="G18" i="3" s="1"/>
  <c r="C21" i="3" l="1"/>
  <c r="Q17" i="2" l="1"/>
  <c r="R17" i="2"/>
  <c r="J12" i="2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F16" i="2" l="1"/>
  <c r="F14" i="2"/>
  <c r="W17" i="2"/>
  <c r="V17" i="2"/>
  <c r="Q15" i="2"/>
  <c r="R15" i="2"/>
  <c r="Q16" i="2"/>
  <c r="V16" i="2" s="1"/>
  <c r="R13" i="2"/>
  <c r="W13" i="2" s="1"/>
  <c r="Q13" i="2"/>
  <c r="V13" i="2" s="1"/>
  <c r="M16" i="2"/>
  <c r="R16" i="2" s="1"/>
  <c r="W16" i="2" s="1"/>
  <c r="K16" i="2"/>
  <c r="J16" i="2"/>
  <c r="T16" i="2" s="1"/>
  <c r="Y16" i="2" s="1"/>
  <c r="H14" i="2"/>
  <c r="I14" i="2"/>
  <c r="S14" i="2" s="1"/>
  <c r="X14" i="2" s="1"/>
  <c r="J14" i="2"/>
  <c r="T14" i="2" s="1"/>
  <c r="Y14" i="2" s="1"/>
  <c r="K14" i="2"/>
  <c r="L14" i="2"/>
  <c r="M14" i="2"/>
  <c r="G14" i="2"/>
  <c r="R14" i="2" l="1"/>
  <c r="W14" i="2" s="1"/>
  <c r="I20" i="3"/>
  <c r="I21" i="3" s="1"/>
  <c r="H20" i="3"/>
  <c r="H21" i="3" s="1"/>
  <c r="Q14" i="2"/>
  <c r="V14" i="2" s="1"/>
  <c r="V15" i="2"/>
  <c r="W15" i="2"/>
  <c r="R14" i="4" l="1"/>
  <c r="R13" i="4"/>
  <c r="O14" i="4"/>
  <c r="M13" i="4"/>
  <c r="M15" i="4"/>
  <c r="M14" i="4"/>
  <c r="L15" i="4"/>
  <c r="L14" i="4"/>
</calcChain>
</file>

<file path=xl/sharedStrings.xml><?xml version="1.0" encoding="utf-8"?>
<sst xmlns="http://schemas.openxmlformats.org/spreadsheetml/2006/main" count="203" uniqueCount="114">
  <si>
    <t>N п/п</t>
  </si>
  <si>
    <t>Целевые и прочие показатели</t>
  </si>
  <si>
    <t>Ед. изм.</t>
  </si>
  <si>
    <t>Средние показатели по отрасли</t>
  </si>
  <si>
    <t>Лучшие мировые показатели по отрасли</t>
  </si>
  <si>
    <t>ЦЕЛЕВЫЕ И ПРОЧИЕ ПОКАЗАТЕЛИ</t>
  </si>
  <si>
    <t>ПРОГРАММЫ ЭНЕРГОСБЕРЕЖЕНИЯ И ПОВЫШЕНИЯ</t>
  </si>
  <si>
    <t>(базовый год) &lt;*&gt;</t>
  </si>
  <si>
    <t>Плановые значения целевых и прочих показателей по годам</t>
  </si>
  <si>
    <t>Фактические значения целевых и прочих показателей по годам</t>
  </si>
  <si>
    <t>Отклонение, ед.</t>
  </si>
  <si>
    <t>Отклонение, %</t>
  </si>
  <si>
    <t>Приложение N 5</t>
  </si>
  <si>
    <t>Наименование программы</t>
  </si>
  <si>
    <t xml:space="preserve">Программа энергосбережения и повышения энергетической эффективности </t>
  </si>
  <si>
    <t>Почтовый адрес</t>
  </si>
  <si>
    <t>Г.Нефтекамск  ул.Высоковольтная д.5</t>
  </si>
  <si>
    <t>Ответственный за формирование программы (Ф.И.О., контактный телефон, e-mail)</t>
  </si>
  <si>
    <t>Гл.ин-р Гарифуллин И.И. 8(34783) 4-04-01</t>
  </si>
  <si>
    <t>Даты начала и окончания действия программы</t>
  </si>
  <si>
    <t>Период</t>
  </si>
  <si>
    <t>Затраты, млн. руб. без НДС</t>
  </si>
  <si>
    <t>Доля затрат в инвестиционной программе, направленной на реализацию целевых мероприятий в области энергосбережения и повышения энергетической эффективности</t>
  </si>
  <si>
    <t>Топливно-энергетические ресурсы (ТЭР)</t>
  </si>
  <si>
    <t>При осуществлении регулируемого вида деятельности</t>
  </si>
  <si>
    <t>При осуществлении прочей деятельности, в т. ч. хозяйственные нужды</t>
  </si>
  <si>
    <t>всего</t>
  </si>
  <si>
    <t>в т. ч. капитальные</t>
  </si>
  <si>
    <t>Суммарные затраты ТЭР</t>
  </si>
  <si>
    <t>Экономия ТЭР в результате реализации программы</t>
  </si>
  <si>
    <t>т у. т. без учета воды</t>
  </si>
  <si>
    <t>млн. руб. без НДС с учетом воды</t>
  </si>
  <si>
    <t>план</t>
  </si>
  <si>
    <t>факт</t>
  </si>
  <si>
    <t>отклонение</t>
  </si>
  <si>
    <t>нарастающим итогом</t>
  </si>
  <si>
    <t>СВОДНАЯ ФОРМА МОНИТОРИНГА РЕАЛИЗАЦИИ ПРОГРАММЫ ЭНЕРГОСБЕРЕЖЕНИЯ И ПОВЫШЕНИЯ ЭНЕРГЕТИЧЕСКОЙ ЭФФЕКТИВНОСТИ</t>
  </si>
  <si>
    <t>Приложение N 4</t>
  </si>
  <si>
    <t>Руководитель организации</t>
  </si>
  <si>
    <t>директор</t>
  </si>
  <si>
    <t>Хайруллин Ш.Ф.</t>
  </si>
  <si>
    <t>&lt;*&gt; Базовый год - предшествующий год году начала действия программы энергосбережения и повышения энергетической эффективности</t>
  </si>
  <si>
    <t>Наименование мероприятия</t>
  </si>
  <si>
    <t>Объемы выполнения</t>
  </si>
  <si>
    <t>Численные значения экономии</t>
  </si>
  <si>
    <t>Затраты (план), млн. руб. (без НДС)</t>
  </si>
  <si>
    <t>Размерность</t>
  </si>
  <si>
    <t>Всего накопительным итогом за годы реализации программы</t>
  </si>
  <si>
    <t>В отчетном году</t>
  </si>
  <si>
    <t>численное значение экономии, т у. т.</t>
  </si>
  <si>
    <t>численное значение экономии, млн. руб.</t>
  </si>
  <si>
    <t>ОТЧЕТ</t>
  </si>
  <si>
    <t>О РЕАЛИЗАЦИИ МЕРОПРИЯТИЙ, ОСНОВНОЙ ЦЕЛЬЮ</t>
  </si>
  <si>
    <t>КОТОРЫХ ЯВЛЯЕТСЯ ЭНЕРГОСБЕРЕЖЕНИЕ И (ИЛИ) ПОВЫШЕНИЕ</t>
  </si>
  <si>
    <t>ЭНЕРГЕТИЧЕСКОЙ ЭФФЕКТИВНОСТИ</t>
  </si>
  <si>
    <t>Приложение N6</t>
  </si>
  <si>
    <t>тыс.квтч</t>
  </si>
  <si>
    <t>Объем полученной электрической энергии (за год)</t>
  </si>
  <si>
    <t>Полезный отпуск электрической энергии (за год)</t>
  </si>
  <si>
    <t>Объем потерь</t>
  </si>
  <si>
    <t>Доля объемов электроэнергии, расчеты за которую осуществляются с использованием приборов учета</t>
  </si>
  <si>
    <t>%</t>
  </si>
  <si>
    <t>Директор</t>
  </si>
  <si>
    <t>Ш.Ф. Хайруллин</t>
  </si>
  <si>
    <t>2017-2021г.г.</t>
  </si>
  <si>
    <t>2017г.</t>
  </si>
  <si>
    <t>1.1.</t>
  </si>
  <si>
    <t>шт.</t>
  </si>
  <si>
    <t xml:space="preserve">Замена ламп на светодиодные. Доведение до 75% по предприятию. </t>
  </si>
  <si>
    <t>2.1.</t>
  </si>
  <si>
    <t xml:space="preserve">Установка электросчетчиков повышенных классов точности. 
Установка выносных приборов учета на границу балансовой принадлежности.
Установка автоматизированных систем учета электроэнергии. </t>
  </si>
  <si>
    <t>3.1.</t>
  </si>
  <si>
    <t>2018г.</t>
  </si>
  <si>
    <t>2019г.</t>
  </si>
  <si>
    <t>2020 г.</t>
  </si>
  <si>
    <t>2021 г.</t>
  </si>
  <si>
    <t>х</t>
  </si>
  <si>
    <t>Приложение № 2</t>
  </si>
  <si>
    <t>к требованиям к форме программы в области</t>
  </si>
  <si>
    <t>энергосбережения и повышения энергетической</t>
  </si>
  <si>
    <t>эффективности для организаций, осуществляющих</t>
  </si>
  <si>
    <t>регулируемые виды деятельности, и отчетности</t>
  </si>
  <si>
    <t>о ходе ее реализации</t>
  </si>
  <si>
    <t>ЦЕЛЕВЫЕ И ПРОЧИЕ ПОКАЗАТЕЛИ ПРОГРАММЫ ЭНЕРГОСБЕРЕЖЕНИЯ И ПОВЫШЕНИЯ ЭНЕРГЕТИЧЕСКОЙ ЭФФЕКТИВНОСТИ</t>
  </si>
  <si>
    <t>№
п/п</t>
  </si>
  <si>
    <t>Средние показатели
по отрасли</t>
  </si>
  <si>
    <t>Лучшие мировые показатели
по отрасли</t>
  </si>
  <si>
    <t>(базовый год)*</t>
  </si>
  <si>
    <t>Плановые значения целевых показателей по годам</t>
  </si>
  <si>
    <t>2017</t>
  </si>
  <si>
    <t xml:space="preserve"> г.</t>
  </si>
  <si>
    <t>2018</t>
  </si>
  <si>
    <t>2019</t>
  </si>
  <si>
    <t>2020</t>
  </si>
  <si>
    <t>2021</t>
  </si>
  <si>
    <t>1</t>
  </si>
  <si>
    <t>Целевые показатели</t>
  </si>
  <si>
    <t>1.1</t>
  </si>
  <si>
    <t>Снижение потерь  электрической энергии в сетях</t>
  </si>
  <si>
    <t>тыс. кВт.ч</t>
  </si>
  <si>
    <t>2</t>
  </si>
  <si>
    <t>Прочие показатели</t>
  </si>
  <si>
    <t>2.1</t>
  </si>
  <si>
    <t>* Базовый год - предшествующий год году начала действия программы энергосбережения и повышения энергетической эффективности.</t>
  </si>
  <si>
    <t>Директор                                                           Хайруллин.Ш.Ф.</t>
  </si>
  <si>
    <t>Замена отработавших нормативный срок трансформаторов  и не прошедших освидетельствования  кол-ве 20шт</t>
  </si>
  <si>
    <t>численное значение экономии в указанной размерности тыс.кВт</t>
  </si>
  <si>
    <t>ЭНЕРГЕТИЧЕСКОЙ ЭФФЕКТИВНОСТИ на 2020год</t>
  </si>
  <si>
    <t>И.о. генеоального директора</t>
  </si>
  <si>
    <t>Е.А. Ефимов</t>
  </si>
  <si>
    <t>ГУП "Региональные электрические сети" РБ</t>
  </si>
  <si>
    <t>за 2020г.</t>
  </si>
  <si>
    <t>за 2020 год.</t>
  </si>
  <si>
    <t>140,5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</si>
</sst>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1"/>
      <name val="Courier New"/>
      <family val="3"/>
      <charset val="204"/>
    </font>
    <font>
      <sz val="12"/>
      <color theme="1"/>
      <name val="Arial"/>
      <family val="2"/>
      <charset val="204"/>
    </font>
    <font>
      <sz val="12"/>
      <color theme="1"/>
      <name val="Courier New"/>
      <family val="3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8" fillId="0" borderId="0" xfId="0" applyFont="1" applyAlignment="1">
      <alignment vertical="top"/>
    </xf>
    <xf numFmtId="2" fontId="7" fillId="0" borderId="0" xfId="0" applyNumberFormat="1" applyFont="1"/>
    <xf numFmtId="2" fontId="1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1" fillId="0" borderId="1" xfId="0" applyNumberFormat="1" applyFont="1" applyFill="1" applyBorder="1" applyAlignment="1">
      <alignment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0" xfId="0" applyFont="1" applyFill="1"/>
    <xf numFmtId="0" fontId="3" fillId="3" borderId="0" xfId="0" applyFont="1" applyFill="1"/>
    <xf numFmtId="0" fontId="0" fillId="3" borderId="0" xfId="0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2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topLeftCell="A10" workbookViewId="0">
      <selection activeCell="F21" sqref="F21:F22"/>
    </sheetView>
  </sheetViews>
  <sheetFormatPr defaultRowHeight="15" x14ac:dyDescent="0.25"/>
  <cols>
    <col min="4" max="4" width="10" customWidth="1"/>
    <col min="5" max="5" width="13.5703125" customWidth="1"/>
    <col min="6" max="7" width="11.5703125" bestFit="1" customWidth="1"/>
    <col min="8" max="8" width="10.140625" customWidth="1"/>
    <col min="9" max="9" width="11.42578125" customWidth="1"/>
    <col min="10" max="11" width="11" customWidth="1"/>
    <col min="12" max="12" width="13.28515625" customWidth="1"/>
    <col min="13" max="13" width="14.28515625" customWidth="1"/>
  </cols>
  <sheetData>
    <row r="1" spans="1:13" x14ac:dyDescent="0.25">
      <c r="M1" s="5" t="s">
        <v>37</v>
      </c>
    </row>
    <row r="2" spans="1:13" x14ac:dyDescent="0.25">
      <c r="K2" s="9" t="s">
        <v>38</v>
      </c>
    </row>
    <row r="3" spans="1:13" ht="16.5" customHeight="1" x14ac:dyDescent="0.25">
      <c r="K3" s="45" t="s">
        <v>39</v>
      </c>
      <c r="L3" s="46"/>
      <c r="M3" s="45" t="s">
        <v>40</v>
      </c>
    </row>
    <row r="4" spans="1:13" ht="30" customHeight="1" x14ac:dyDescent="0.25">
      <c r="L4" s="9"/>
      <c r="M4" s="9"/>
    </row>
    <row r="5" spans="1:13" x14ac:dyDescent="0.25">
      <c r="C5" s="9" t="s">
        <v>36</v>
      </c>
    </row>
    <row r="6" spans="1:13" x14ac:dyDescent="0.25">
      <c r="E6" s="9" t="s">
        <v>111</v>
      </c>
    </row>
    <row r="7" spans="1:13" ht="15.75" x14ac:dyDescent="0.25">
      <c r="E7" s="11" t="str">
        <f>'Приложение 5'!E9</f>
        <v>ГУП "Региональные электрические сети" РБ</v>
      </c>
    </row>
    <row r="8" spans="1:13" x14ac:dyDescent="0.25">
      <c r="A8" s="47" t="s">
        <v>13</v>
      </c>
      <c r="B8" s="47"/>
      <c r="C8" s="47"/>
      <c r="D8" s="47"/>
      <c r="E8" s="47" t="s">
        <v>14</v>
      </c>
      <c r="F8" s="47"/>
      <c r="G8" s="47"/>
      <c r="H8" s="47"/>
      <c r="I8" s="47"/>
      <c r="J8" s="47"/>
      <c r="K8" s="47"/>
      <c r="L8" s="47"/>
      <c r="M8" s="47"/>
    </row>
    <row r="9" spans="1:13" x14ac:dyDescent="0.25">
      <c r="A9" s="47" t="s">
        <v>15</v>
      </c>
      <c r="B9" s="47"/>
      <c r="C9" s="47"/>
      <c r="D9" s="47"/>
      <c r="E9" s="47" t="s">
        <v>16</v>
      </c>
      <c r="F9" s="47"/>
      <c r="G9" s="47"/>
      <c r="H9" s="47"/>
      <c r="I9" s="47"/>
      <c r="J9" s="47"/>
      <c r="K9" s="47"/>
      <c r="L9" s="47"/>
      <c r="M9" s="47"/>
    </row>
    <row r="10" spans="1:13" ht="38.25" customHeight="1" x14ac:dyDescent="0.25">
      <c r="A10" s="47" t="s">
        <v>17</v>
      </c>
      <c r="B10" s="47"/>
      <c r="C10" s="47"/>
      <c r="D10" s="47"/>
      <c r="E10" s="105" t="s">
        <v>18</v>
      </c>
      <c r="F10" s="105"/>
      <c r="G10" s="105"/>
      <c r="H10" s="105"/>
      <c r="I10" s="105"/>
      <c r="J10" s="105"/>
      <c r="K10" s="105"/>
      <c r="L10" s="105"/>
      <c r="M10" s="105"/>
    </row>
    <row r="11" spans="1:13" ht="25.5" customHeight="1" x14ac:dyDescent="0.25">
      <c r="A11" s="47" t="s">
        <v>19</v>
      </c>
      <c r="B11" s="47"/>
      <c r="C11" s="47"/>
      <c r="D11" s="47"/>
      <c r="E11" s="47" t="s">
        <v>64</v>
      </c>
      <c r="F11" s="47"/>
      <c r="G11" s="47"/>
      <c r="H11" s="47"/>
      <c r="I11" s="47"/>
      <c r="J11" s="47"/>
      <c r="K11" s="47"/>
      <c r="L11" s="47"/>
      <c r="M11" s="47"/>
    </row>
    <row r="12" spans="1:13" ht="57" customHeight="1" x14ac:dyDescent="0.25">
      <c r="A12" s="48" t="s">
        <v>20</v>
      </c>
      <c r="B12" s="47"/>
      <c r="C12" s="48" t="s">
        <v>21</v>
      </c>
      <c r="D12" s="48"/>
      <c r="E12" s="48" t="s">
        <v>22</v>
      </c>
      <c r="F12" s="48" t="s">
        <v>23</v>
      </c>
      <c r="G12" s="48"/>
      <c r="H12" s="48"/>
      <c r="I12" s="48"/>
      <c r="J12" s="48"/>
      <c r="K12" s="48"/>
      <c r="L12" s="48"/>
      <c r="M12" s="48"/>
    </row>
    <row r="13" spans="1:13" ht="38.25" customHeight="1" x14ac:dyDescent="0.25">
      <c r="A13" s="48"/>
      <c r="B13" s="47"/>
      <c r="C13" s="48"/>
      <c r="D13" s="48"/>
      <c r="E13" s="48"/>
      <c r="F13" s="48" t="s">
        <v>24</v>
      </c>
      <c r="G13" s="48"/>
      <c r="H13" s="48"/>
      <c r="I13" s="48"/>
      <c r="J13" s="48" t="s">
        <v>25</v>
      </c>
      <c r="K13" s="48"/>
      <c r="L13" s="48"/>
      <c r="M13" s="48"/>
    </row>
    <row r="14" spans="1:13" ht="51" customHeight="1" x14ac:dyDescent="0.25">
      <c r="A14" s="48"/>
      <c r="B14" s="47"/>
      <c r="C14" s="48" t="s">
        <v>26</v>
      </c>
      <c r="D14" s="48" t="s">
        <v>27</v>
      </c>
      <c r="E14" s="48"/>
      <c r="F14" s="48" t="s">
        <v>28</v>
      </c>
      <c r="G14" s="48"/>
      <c r="H14" s="48" t="s">
        <v>29</v>
      </c>
      <c r="I14" s="48"/>
      <c r="J14" s="48" t="s">
        <v>28</v>
      </c>
      <c r="K14" s="48"/>
      <c r="L14" s="48" t="s">
        <v>29</v>
      </c>
      <c r="M14" s="48"/>
    </row>
    <row r="15" spans="1:13" ht="51" x14ac:dyDescent="0.25">
      <c r="A15" s="48"/>
      <c r="B15" s="47"/>
      <c r="C15" s="48"/>
      <c r="D15" s="48"/>
      <c r="E15" s="48"/>
      <c r="F15" s="2" t="s">
        <v>30</v>
      </c>
      <c r="G15" s="2" t="s">
        <v>31</v>
      </c>
      <c r="H15" s="2" t="s">
        <v>30</v>
      </c>
      <c r="I15" s="2" t="s">
        <v>31</v>
      </c>
      <c r="J15" s="2" t="s">
        <v>30</v>
      </c>
      <c r="K15" s="2" t="s">
        <v>31</v>
      </c>
      <c r="L15" s="2" t="s">
        <v>30</v>
      </c>
      <c r="M15" s="2" t="s">
        <v>31</v>
      </c>
    </row>
    <row r="16" spans="1:13" x14ac:dyDescent="0.25">
      <c r="A16" s="48" t="s">
        <v>112</v>
      </c>
      <c r="B16" s="3" t="s">
        <v>32</v>
      </c>
      <c r="C16" s="101">
        <v>36.698</v>
      </c>
      <c r="D16" s="19"/>
      <c r="E16" s="101">
        <f>'Приложение 6'!U13+'Приложение 6'!U14+'Приложение 6'!U15</f>
        <v>8.9480000000000004</v>
      </c>
      <c r="F16" s="102">
        <f>41070*0.3445/1000</f>
        <v>14.148614999999999</v>
      </c>
      <c r="G16" s="102">
        <f>41070*1.9792/1000</f>
        <v>81.285744000000008</v>
      </c>
      <c r="H16" s="102">
        <f>142.505*0.3445/1000</f>
        <v>4.9092972499999991E-2</v>
      </c>
      <c r="I16" s="102">
        <v>0.28204590000000002</v>
      </c>
      <c r="J16" s="101">
        <f>(1153.491*0.1486+187179*0.3445)/1000000</f>
        <v>6.465457426259999E-2</v>
      </c>
      <c r="K16" s="102">
        <f>1153.491*1372.788/1000000+187179*3.48/1000000</f>
        <v>2.2348815229080001</v>
      </c>
      <c r="L16" s="101">
        <f>(2504*0.3445+5.885*0.1486)/1000000</f>
        <v>8.6350251099999995E-4</v>
      </c>
      <c r="M16" s="101">
        <f>(8.714+8.07886)/1000</f>
        <v>1.679286E-2</v>
      </c>
    </row>
    <row r="17" spans="1:13" x14ac:dyDescent="0.25">
      <c r="A17" s="48"/>
      <c r="B17" s="3" t="s">
        <v>33</v>
      </c>
      <c r="C17" s="101">
        <v>36.738</v>
      </c>
      <c r="D17" s="19"/>
      <c r="E17" s="101">
        <f>'Приложение 6'!W13+'Приложение 6'!W14+'Приложение 6'!W15</f>
        <v>10.556999999999999</v>
      </c>
      <c r="F17" s="102">
        <f>'Приложение 5'!O15*0.3445/1000</f>
        <v>10.1435348235</v>
      </c>
      <c r="G17" s="102">
        <f>'Приложение 5'!O15*2.576998/1000</f>
        <v>75.877703782554008</v>
      </c>
      <c r="H17" s="102">
        <f>'Приложение 5'!T15*0.3445/1000</f>
        <v>4.005080176499999</v>
      </c>
      <c r="I17" s="102">
        <f>'Приложение 5'!T15*2.576998/1000</f>
        <v>29.959604077445999</v>
      </c>
      <c r="J17" s="101">
        <f>(1229.887*0.1486+195284*0.3445)/1000000</f>
        <v>6.7458099208199993E-2</v>
      </c>
      <c r="K17" s="102">
        <f>1229.887*1806.861/1000000+195284*4.49987/1000000</f>
        <v>3.1009874677869997</v>
      </c>
      <c r="L17" s="101">
        <f>((192840-195284)*0.3445+(947.18-1229.887)*0.1486)/1000000</f>
        <v>-8.8396826020000006E-4</v>
      </c>
      <c r="M17" s="101">
        <f>(192840-195284)*4.469987/1000000+(947.18-1229.887)*1806.861/1000000</f>
        <v>-0.52173690095500003</v>
      </c>
    </row>
    <row r="18" spans="1:13" ht="25.5" x14ac:dyDescent="0.25">
      <c r="A18" s="49"/>
      <c r="B18" s="8" t="s">
        <v>34</v>
      </c>
      <c r="C18" s="103">
        <f>C17-C16</f>
        <v>3.9999999999999147E-2</v>
      </c>
      <c r="D18" s="20"/>
      <c r="E18" s="103">
        <f t="shared" ref="E18:M18" si="0">E17-E16</f>
        <v>1.6089999999999982</v>
      </c>
      <c r="F18" s="103">
        <f t="shared" si="0"/>
        <v>-4.0050801764999999</v>
      </c>
      <c r="G18" s="103">
        <f t="shared" si="0"/>
        <v>-5.4080402174460005</v>
      </c>
      <c r="H18" s="103">
        <f t="shared" si="0"/>
        <v>3.955987203999999</v>
      </c>
      <c r="I18" s="103">
        <f t="shared" si="0"/>
        <v>29.677558177445999</v>
      </c>
      <c r="J18" s="103">
        <f t="shared" si="0"/>
        <v>2.8035249456000028E-3</v>
      </c>
      <c r="K18" s="103">
        <f t="shared" si="0"/>
        <v>0.86610594487899961</v>
      </c>
      <c r="L18" s="103">
        <f t="shared" si="0"/>
        <v>-1.7474707712E-3</v>
      </c>
      <c r="M18" s="103">
        <f t="shared" si="0"/>
        <v>-0.53852976095500005</v>
      </c>
    </row>
    <row r="19" spans="1:13" x14ac:dyDescent="0.25">
      <c r="A19" s="48" t="s">
        <v>35</v>
      </c>
      <c r="B19" s="3" t="s">
        <v>32</v>
      </c>
      <c r="C19" s="101">
        <f>34.42+34.765+C16</f>
        <v>105.88300000000001</v>
      </c>
      <c r="D19" s="19"/>
      <c r="E19" s="101">
        <f>'Приложение 6'!T13+'Приложение 6'!T14+'Приложение 6'!T15</f>
        <v>29.100999999999999</v>
      </c>
      <c r="F19" s="102">
        <f>41070*4*0.3445/1000</f>
        <v>56.594459999999998</v>
      </c>
      <c r="G19" s="104">
        <f>41070*4*1.9792/1000</f>
        <v>325.14297600000003</v>
      </c>
      <c r="H19" s="102">
        <f>(141.525+141.535+142.01+142.505)*0.3445/1000</f>
        <v>0.19552958749999999</v>
      </c>
      <c r="I19" s="102">
        <f>0.2810628+0.28012607+0.28106619+0.2820459</f>
        <v>1.12430096</v>
      </c>
      <c r="J19" s="102">
        <f>((1165.261+1171.146+1159.376+1153.491)*0.1486+(192187+194691+189683+187179)*0.3445)/1000000</f>
        <v>0.26379931211640001</v>
      </c>
      <c r="K19" s="102">
        <f>(1165.261+1171.146+1159.376+1153.491)*1372.788/1000000+(192187+194691+189683+187179)*3.48/1000000</f>
        <v>9.0402827559120009</v>
      </c>
      <c r="L19" s="101">
        <f>(2504*0.3445+5.885*0.1486)/1000000*4</f>
        <v>3.4540100439999998E-3</v>
      </c>
      <c r="M19" s="101">
        <f>(8.714+8.07886)/1000*4</f>
        <v>6.7171439999999999E-2</v>
      </c>
    </row>
    <row r="20" spans="1:13" x14ac:dyDescent="0.25">
      <c r="A20" s="48"/>
      <c r="B20" s="3" t="s">
        <v>33</v>
      </c>
      <c r="C20" s="101">
        <f>33.74+36.685+C17</f>
        <v>107.16300000000001</v>
      </c>
      <c r="D20" s="19"/>
      <c r="E20" s="101">
        <f>'Приложение 6'!V13+'Приложение 6'!V14+'Приложение 6'!V15</f>
        <v>32.241</v>
      </c>
      <c r="F20" s="102">
        <f>('Приложение 5'!L15+'Приложение 5'!M15+'Приложение 5'!N15+'Приложение 5'!O15)*0.3445/1000</f>
        <v>47.251435003499992</v>
      </c>
      <c r="G20" s="102">
        <f>'Приложение 5'!L15*2.25132/1000+'Приложение 5'!M15*2.27683/1000+'Приложение 5'!N15*2.45543/1000+'Приложение 5'!O15*2.576998/1000</f>
        <v>325.83001384575402</v>
      </c>
      <c r="H20" s="102">
        <f>('Приложение 5'!Q15+'Приложение 5'!R15+'Приложение 5'!S15+'Приложение 5'!T15)*0.3445/1000</f>
        <v>9.3430249964999987</v>
      </c>
      <c r="I20" s="102">
        <f>('Приложение 5'!Q15*0.25132+'Приложение 5'!R15*2.27683+'Приложение 5'!S15*2.45543+'Приложение 5'!T15*2.576998)/1000</f>
        <v>62.29292461424599</v>
      </c>
      <c r="J20" s="102">
        <f>((1213.28+1032.93+947.18+1229.887)*0.1486+(199567+195557+192840+195284)*0.3445)/1000000</f>
        <v>0.27048623496219998</v>
      </c>
      <c r="K20" s="102">
        <f>(1213.28*1615.424+1032.93*1730.16+947.18*1708.342+1229.887*1806.861)/1000000+(199567*3.89946+195557*4.0846+192840*4.47672+195284*4.69987)/1000000</f>
        <v>10.945513783686998</v>
      </c>
      <c r="L20" s="101">
        <f>(((197195-199567)+(199567-195557)+(195557-192840)+(192840-195284))*0.3445+((1177.03-1213.28)+(1213.28-1032.93)+(1032.93-947.18)+(947.18-1229.887))*0.1486)/1000000</f>
        <v>6.5048494979999994E-4</v>
      </c>
      <c r="M20" s="101">
        <f>((197195-199567)*3.89946+(199567-195557)*4.0846+(195557-192840)*4.47672+(192840-195284)*4.69987+(1177.03-1213.28)*1615.424+(1213.28-1032.93)*1730.16+(1032.93-947.18)*1708.342+(947.18-1229.887)*1806.861)/1000000</f>
        <v>-0.10304019738699996</v>
      </c>
    </row>
    <row r="21" spans="1:13" ht="25.5" x14ac:dyDescent="0.25">
      <c r="A21" s="48"/>
      <c r="B21" s="3" t="s">
        <v>34</v>
      </c>
      <c r="C21" s="101">
        <f>C20-C19</f>
        <v>1.2800000000000011</v>
      </c>
      <c r="D21" s="19"/>
      <c r="E21" s="101">
        <f t="shared" ref="E21:M21" si="1">E20-E19</f>
        <v>3.1400000000000006</v>
      </c>
      <c r="F21" s="101">
        <f t="shared" si="1"/>
        <v>-9.3430249965000058</v>
      </c>
      <c r="G21" s="101">
        <f t="shared" si="1"/>
        <v>0.68703784575399141</v>
      </c>
      <c r="H21" s="101">
        <f t="shared" si="1"/>
        <v>9.1474954089999994</v>
      </c>
      <c r="I21" s="101">
        <f t="shared" si="1"/>
        <v>61.168623654245991</v>
      </c>
      <c r="J21" s="101">
        <f t="shared" si="1"/>
        <v>6.6869228457999697E-3</v>
      </c>
      <c r="K21" s="101">
        <f t="shared" si="1"/>
        <v>1.9052310277749971</v>
      </c>
      <c r="L21" s="101">
        <f t="shared" si="1"/>
        <v>-2.8035250941999997E-3</v>
      </c>
      <c r="M21" s="101">
        <f t="shared" si="1"/>
        <v>-0.17021163738699996</v>
      </c>
    </row>
  </sheetData>
  <mergeCells count="23">
    <mergeCell ref="A19:A21"/>
    <mergeCell ref="D14:D15"/>
    <mergeCell ref="F14:G14"/>
    <mergeCell ref="H14:I14"/>
    <mergeCell ref="J14:K14"/>
    <mergeCell ref="L14:M14"/>
    <mergeCell ref="A16:A18"/>
    <mergeCell ref="A11:D11"/>
    <mergeCell ref="E11:M11"/>
    <mergeCell ref="A12:A15"/>
    <mergeCell ref="B12:B15"/>
    <mergeCell ref="C12:D13"/>
    <mergeCell ref="E12:E15"/>
    <mergeCell ref="F12:M12"/>
    <mergeCell ref="F13:I13"/>
    <mergeCell ref="J13:M13"/>
    <mergeCell ref="C14:C15"/>
    <mergeCell ref="A8:D8"/>
    <mergeCell ref="E8:M8"/>
    <mergeCell ref="A9:D9"/>
    <mergeCell ref="E9:M9"/>
    <mergeCell ref="A10:D10"/>
    <mergeCell ref="E10:M10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E22"/>
  <sheetViews>
    <sheetView view="pageBreakPreview" zoomScale="110" zoomScaleNormal="100" zoomScaleSheetLayoutView="110" workbookViewId="0">
      <selection activeCell="GC23" sqref="GB23:GC24"/>
    </sheetView>
  </sheetViews>
  <sheetFormatPr defaultColWidth="0.85546875" defaultRowHeight="15" x14ac:dyDescent="0.25"/>
  <cols>
    <col min="1" max="16384" width="0.85546875" style="24"/>
  </cols>
  <sheetData>
    <row r="1" spans="1:161" s="23" customFormat="1" ht="12" x14ac:dyDescent="0.2">
      <c r="DO1" s="23" t="s">
        <v>77</v>
      </c>
    </row>
    <row r="2" spans="1:161" s="23" customFormat="1" ht="12" x14ac:dyDescent="0.2">
      <c r="DO2" s="23" t="s">
        <v>78</v>
      </c>
    </row>
    <row r="3" spans="1:161" s="23" customFormat="1" ht="12" x14ac:dyDescent="0.2">
      <c r="DO3" s="23" t="s">
        <v>79</v>
      </c>
    </row>
    <row r="4" spans="1:161" s="23" customFormat="1" ht="12" x14ac:dyDescent="0.2">
      <c r="DO4" s="23" t="s">
        <v>80</v>
      </c>
    </row>
    <row r="5" spans="1:161" s="23" customFormat="1" ht="12" x14ac:dyDescent="0.2">
      <c r="DO5" s="23" t="s">
        <v>81</v>
      </c>
    </row>
    <row r="6" spans="1:161" s="23" customFormat="1" ht="12" x14ac:dyDescent="0.2">
      <c r="DO6" s="23" t="s">
        <v>82</v>
      </c>
    </row>
    <row r="8" spans="1:161" ht="15.75" x14ac:dyDescent="0.25">
      <c r="A8" s="73" t="s">
        <v>83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</row>
    <row r="10" spans="1:161" x14ac:dyDescent="0.25">
      <c r="A10" s="74" t="s">
        <v>84</v>
      </c>
      <c r="B10" s="75"/>
      <c r="C10" s="75"/>
      <c r="D10" s="75"/>
      <c r="E10" s="75"/>
      <c r="F10" s="75"/>
      <c r="G10" s="76"/>
      <c r="H10" s="74" t="s">
        <v>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6"/>
      <c r="AF10" s="83" t="s">
        <v>2</v>
      </c>
      <c r="AG10" s="84"/>
      <c r="AH10" s="84"/>
      <c r="AI10" s="84"/>
      <c r="AJ10" s="84"/>
      <c r="AK10" s="84"/>
      <c r="AL10" s="84"/>
      <c r="AM10" s="84"/>
      <c r="AN10" s="84"/>
      <c r="AO10" s="85"/>
      <c r="AP10" s="74" t="s">
        <v>85</v>
      </c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6"/>
      <c r="BN10" s="74" t="s">
        <v>86</v>
      </c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6"/>
      <c r="CL10" s="74" t="s">
        <v>87</v>
      </c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6"/>
      <c r="CX10" s="68" t="s">
        <v>88</v>
      </c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70"/>
    </row>
    <row r="11" spans="1:161" x14ac:dyDescent="0.25">
      <c r="A11" s="77"/>
      <c r="B11" s="78"/>
      <c r="C11" s="78"/>
      <c r="D11" s="78"/>
      <c r="E11" s="78"/>
      <c r="F11" s="78"/>
      <c r="G11" s="79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86"/>
      <c r="AG11" s="87"/>
      <c r="AH11" s="87"/>
      <c r="AI11" s="87"/>
      <c r="AJ11" s="87"/>
      <c r="AK11" s="87"/>
      <c r="AL11" s="87"/>
      <c r="AM11" s="87"/>
      <c r="AN11" s="87"/>
      <c r="AO11" s="88"/>
      <c r="AP11" s="77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9"/>
      <c r="BN11" s="77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9"/>
      <c r="CL11" s="77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9"/>
      <c r="CX11" s="25"/>
      <c r="CY11" s="26"/>
      <c r="CZ11" s="71" t="s">
        <v>89</v>
      </c>
      <c r="DA11" s="71"/>
      <c r="DB11" s="71"/>
      <c r="DC11" s="71"/>
      <c r="DD11" s="71"/>
      <c r="DE11" s="71"/>
      <c r="DF11" s="72" t="s">
        <v>90</v>
      </c>
      <c r="DG11" s="72"/>
      <c r="DH11" s="72"/>
      <c r="DI11" s="27"/>
      <c r="DJ11" s="25"/>
      <c r="DK11" s="26"/>
      <c r="DL11" s="71" t="s">
        <v>91</v>
      </c>
      <c r="DM11" s="71"/>
      <c r="DN11" s="71"/>
      <c r="DO11" s="71"/>
      <c r="DP11" s="71"/>
      <c r="DQ11" s="71"/>
      <c r="DR11" s="72" t="s">
        <v>90</v>
      </c>
      <c r="DS11" s="72"/>
      <c r="DT11" s="72"/>
      <c r="DU11" s="27"/>
      <c r="DV11" s="25"/>
      <c r="DW11" s="26"/>
      <c r="DX11" s="71" t="s">
        <v>92</v>
      </c>
      <c r="DY11" s="71"/>
      <c r="DZ11" s="71"/>
      <c r="EA11" s="71"/>
      <c r="EB11" s="71"/>
      <c r="EC11" s="71"/>
      <c r="ED11" s="72" t="s">
        <v>90</v>
      </c>
      <c r="EE11" s="72"/>
      <c r="EF11" s="72"/>
      <c r="EG11" s="27"/>
      <c r="EH11" s="25"/>
      <c r="EI11" s="26"/>
      <c r="EJ11" s="71" t="s">
        <v>93</v>
      </c>
      <c r="EK11" s="71"/>
      <c r="EL11" s="71"/>
      <c r="EM11" s="71"/>
      <c r="EN11" s="71"/>
      <c r="EO11" s="71"/>
      <c r="EP11" s="72" t="s">
        <v>90</v>
      </c>
      <c r="EQ11" s="72"/>
      <c r="ER11" s="72"/>
      <c r="ES11" s="27"/>
      <c r="ET11" s="25"/>
      <c r="EU11" s="26"/>
      <c r="EV11" s="71" t="s">
        <v>94</v>
      </c>
      <c r="EW11" s="71"/>
      <c r="EX11" s="71"/>
      <c r="EY11" s="71"/>
      <c r="EZ11" s="71"/>
      <c r="FA11" s="71"/>
      <c r="FB11" s="72" t="s">
        <v>90</v>
      </c>
      <c r="FC11" s="72"/>
      <c r="FD11" s="72"/>
      <c r="FE11" s="27"/>
    </row>
    <row r="12" spans="1:161" x14ac:dyDescent="0.25">
      <c r="A12" s="80"/>
      <c r="B12" s="81"/>
      <c r="C12" s="81"/>
      <c r="D12" s="81"/>
      <c r="E12" s="81"/>
      <c r="F12" s="81"/>
      <c r="G12" s="82"/>
      <c r="H12" s="80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  <c r="AF12" s="89"/>
      <c r="AG12" s="90"/>
      <c r="AH12" s="90"/>
      <c r="AI12" s="90"/>
      <c r="AJ12" s="90"/>
      <c r="AK12" s="90"/>
      <c r="AL12" s="90"/>
      <c r="AM12" s="90"/>
      <c r="AN12" s="90"/>
      <c r="AO12" s="91"/>
      <c r="AP12" s="80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2"/>
      <c r="BN12" s="80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2"/>
      <c r="CL12" s="80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2"/>
      <c r="CX12" s="28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30"/>
      <c r="DJ12" s="28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30"/>
      <c r="DV12" s="28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30"/>
      <c r="EH12" s="28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30"/>
      <c r="ET12" s="28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30"/>
    </row>
    <row r="13" spans="1:161" x14ac:dyDescent="0.25">
      <c r="A13" s="62">
        <v>1</v>
      </c>
      <c r="B13" s="63"/>
      <c r="C13" s="63"/>
      <c r="D13" s="63"/>
      <c r="E13" s="63"/>
      <c r="F13" s="63"/>
      <c r="G13" s="64"/>
      <c r="H13" s="62">
        <v>2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4"/>
      <c r="AF13" s="62">
        <v>3</v>
      </c>
      <c r="AG13" s="63"/>
      <c r="AH13" s="63"/>
      <c r="AI13" s="63"/>
      <c r="AJ13" s="63"/>
      <c r="AK13" s="63"/>
      <c r="AL13" s="63"/>
      <c r="AM13" s="63"/>
      <c r="AN13" s="63"/>
      <c r="AO13" s="64"/>
      <c r="AP13" s="62">
        <v>4</v>
      </c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4"/>
      <c r="BN13" s="62">
        <v>5</v>
      </c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4"/>
      <c r="CL13" s="62">
        <v>6</v>
      </c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4"/>
      <c r="CX13" s="62">
        <v>7</v>
      </c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4"/>
      <c r="DJ13" s="62">
        <v>8</v>
      </c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4"/>
      <c r="DV13" s="62">
        <v>9</v>
      </c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4"/>
      <c r="EH13" s="62">
        <v>10</v>
      </c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4"/>
      <c r="ET13" s="62">
        <v>11</v>
      </c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4"/>
    </row>
    <row r="14" spans="1:161" x14ac:dyDescent="0.25">
      <c r="A14" s="65" t="s">
        <v>95</v>
      </c>
      <c r="B14" s="66"/>
      <c r="C14" s="66"/>
      <c r="D14" s="66"/>
      <c r="E14" s="66"/>
      <c r="F14" s="66"/>
      <c r="G14" s="67"/>
      <c r="H14" s="68" t="s">
        <v>96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70"/>
      <c r="AF14" s="59"/>
      <c r="AG14" s="60"/>
      <c r="AH14" s="60"/>
      <c r="AI14" s="60"/>
      <c r="AJ14" s="60"/>
      <c r="AK14" s="60"/>
      <c r="AL14" s="60"/>
      <c r="AM14" s="60"/>
      <c r="AN14" s="60"/>
      <c r="AO14" s="61"/>
      <c r="AP14" s="54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6"/>
      <c r="BN14" s="54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6"/>
      <c r="CL14" s="51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3"/>
      <c r="CX14" s="54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6"/>
      <c r="DJ14" s="54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6"/>
      <c r="DV14" s="54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6"/>
      <c r="EH14" s="54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6"/>
      <c r="ET14" s="54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6"/>
    </row>
    <row r="15" spans="1:161" s="44" customFormat="1" ht="54" customHeight="1" x14ac:dyDescent="0.25">
      <c r="A15" s="51" t="s">
        <v>97</v>
      </c>
      <c r="B15" s="52"/>
      <c r="C15" s="52"/>
      <c r="D15" s="52"/>
      <c r="E15" s="52"/>
      <c r="F15" s="52"/>
      <c r="G15" s="53"/>
      <c r="H15" s="43"/>
      <c r="I15" s="57" t="s">
        <v>98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8"/>
      <c r="AF15" s="59" t="s">
        <v>99</v>
      </c>
      <c r="AG15" s="60"/>
      <c r="AH15" s="60"/>
      <c r="AI15" s="60"/>
      <c r="AJ15" s="60"/>
      <c r="AK15" s="60"/>
      <c r="AL15" s="60"/>
      <c r="AM15" s="60"/>
      <c r="AN15" s="60"/>
      <c r="AO15" s="61"/>
      <c r="AP15" s="54" t="s">
        <v>76</v>
      </c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6"/>
      <c r="BN15" s="54" t="s">
        <v>76</v>
      </c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6"/>
      <c r="CL15" s="51" t="s">
        <v>113</v>
      </c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3"/>
      <c r="CX15" s="54">
        <v>141</v>
      </c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6"/>
      <c r="DJ15" s="54">
        <v>282.5</v>
      </c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6"/>
      <c r="DV15" s="54">
        <v>424.5</v>
      </c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6"/>
      <c r="EH15" s="54">
        <v>567</v>
      </c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6"/>
      <c r="ET15" s="54">
        <v>710</v>
      </c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6"/>
    </row>
    <row r="16" spans="1:161" s="44" customFormat="1" ht="22.5" customHeight="1" x14ac:dyDescent="0.25">
      <c r="A16" s="51" t="s">
        <v>100</v>
      </c>
      <c r="B16" s="52"/>
      <c r="C16" s="52"/>
      <c r="D16" s="52"/>
      <c r="E16" s="52"/>
      <c r="F16" s="52"/>
      <c r="G16" s="53"/>
      <c r="H16" s="59" t="s">
        <v>101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1"/>
      <c r="AF16" s="59" t="s">
        <v>76</v>
      </c>
      <c r="AG16" s="60"/>
      <c r="AH16" s="60"/>
      <c r="AI16" s="60"/>
      <c r="AJ16" s="60"/>
      <c r="AK16" s="60"/>
      <c r="AL16" s="60"/>
      <c r="AM16" s="60"/>
      <c r="AN16" s="60"/>
      <c r="AO16" s="61"/>
      <c r="AP16" s="54" t="s">
        <v>76</v>
      </c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6"/>
      <c r="BN16" s="54" t="s">
        <v>76</v>
      </c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6"/>
      <c r="CL16" s="51" t="s">
        <v>76</v>
      </c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3"/>
      <c r="CX16" s="54" t="s">
        <v>76</v>
      </c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6"/>
      <c r="DJ16" s="54" t="s">
        <v>76</v>
      </c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6"/>
      <c r="DV16" s="54" t="s">
        <v>76</v>
      </c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6"/>
      <c r="EH16" s="54" t="s">
        <v>76</v>
      </c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6"/>
      <c r="ET16" s="54" t="s">
        <v>76</v>
      </c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6"/>
    </row>
    <row r="17" spans="1:161" s="44" customFormat="1" x14ac:dyDescent="0.25">
      <c r="A17" s="51" t="s">
        <v>102</v>
      </c>
      <c r="B17" s="52"/>
      <c r="C17" s="52"/>
      <c r="D17" s="52"/>
      <c r="E17" s="52"/>
      <c r="F17" s="52"/>
      <c r="G17" s="53"/>
      <c r="H17" s="43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8"/>
      <c r="AF17" s="59"/>
      <c r="AG17" s="60"/>
      <c r="AH17" s="60"/>
      <c r="AI17" s="60"/>
      <c r="AJ17" s="60"/>
      <c r="AK17" s="60"/>
      <c r="AL17" s="60"/>
      <c r="AM17" s="60"/>
      <c r="AN17" s="60"/>
      <c r="AO17" s="61"/>
      <c r="AP17" s="54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6"/>
      <c r="BN17" s="54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6"/>
      <c r="CL17" s="51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3"/>
      <c r="CX17" s="54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6"/>
      <c r="DJ17" s="54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6"/>
      <c r="DV17" s="54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6"/>
      <c r="EH17" s="54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6"/>
      <c r="ET17" s="54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6"/>
    </row>
    <row r="18" spans="1:161" s="44" customFormat="1" x14ac:dyDescent="0.25">
      <c r="A18" s="51"/>
      <c r="B18" s="52"/>
      <c r="C18" s="52"/>
      <c r="D18" s="52"/>
      <c r="E18" s="52"/>
      <c r="F18" s="52"/>
      <c r="G18" s="53"/>
      <c r="H18" s="43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8"/>
      <c r="AF18" s="59"/>
      <c r="AG18" s="60"/>
      <c r="AH18" s="60"/>
      <c r="AI18" s="60"/>
      <c r="AJ18" s="60"/>
      <c r="AK18" s="60"/>
      <c r="AL18" s="60"/>
      <c r="AM18" s="60"/>
      <c r="AN18" s="60"/>
      <c r="AO18" s="61"/>
      <c r="AP18" s="54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6"/>
      <c r="BN18" s="54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6"/>
      <c r="CL18" s="51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3"/>
      <c r="CX18" s="54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6"/>
      <c r="DJ18" s="54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6"/>
      <c r="DV18" s="54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6"/>
      <c r="EH18" s="54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6"/>
      <c r="ET18" s="54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6"/>
    </row>
    <row r="19" spans="1:161" ht="9" customHeight="1" x14ac:dyDescent="0.25"/>
    <row r="20" spans="1:161" s="31" customFormat="1" ht="12" x14ac:dyDescent="0.25">
      <c r="F20" s="31" t="s">
        <v>103</v>
      </c>
    </row>
    <row r="21" spans="1:161" ht="32.25" customHeight="1" x14ac:dyDescent="0.25"/>
    <row r="22" spans="1:161" ht="21.75" customHeight="1" x14ac:dyDescent="0.25">
      <c r="N22" s="50" t="s">
        <v>104</v>
      </c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</row>
  </sheetData>
  <mergeCells count="85">
    <mergeCell ref="A8:FE8"/>
    <mergeCell ref="A10:G12"/>
    <mergeCell ref="H10:AE12"/>
    <mergeCell ref="AF10:AO12"/>
    <mergeCell ref="AP10:BM12"/>
    <mergeCell ref="BN10:CK12"/>
    <mergeCell ref="CL10:CW12"/>
    <mergeCell ref="CX10:FE10"/>
    <mergeCell ref="CZ11:DE11"/>
    <mergeCell ref="DF11:DH11"/>
    <mergeCell ref="EV11:FA11"/>
    <mergeCell ref="FB11:FD11"/>
    <mergeCell ref="DX11:EC11"/>
    <mergeCell ref="ED11:EF11"/>
    <mergeCell ref="EJ11:EO11"/>
    <mergeCell ref="EP11:ER11"/>
    <mergeCell ref="DJ13:DU13"/>
    <mergeCell ref="DL11:DQ11"/>
    <mergeCell ref="DR11:DT11"/>
    <mergeCell ref="A13:G13"/>
    <mergeCell ref="H13:AE13"/>
    <mergeCell ref="AF13:AO13"/>
    <mergeCell ref="AP13:BM13"/>
    <mergeCell ref="BN13:CK13"/>
    <mergeCell ref="DV13:EG13"/>
    <mergeCell ref="EH13:ES13"/>
    <mergeCell ref="ET13:FE13"/>
    <mergeCell ref="A14:G14"/>
    <mergeCell ref="H14:AE14"/>
    <mergeCell ref="AF14:AO14"/>
    <mergeCell ref="AP14:BM14"/>
    <mergeCell ref="BN14:CK14"/>
    <mergeCell ref="CL14:CW14"/>
    <mergeCell ref="CX14:DI14"/>
    <mergeCell ref="DJ14:DU14"/>
    <mergeCell ref="DV14:EG14"/>
    <mergeCell ref="EH14:ES14"/>
    <mergeCell ref="ET14:FE14"/>
    <mergeCell ref="CL13:CW13"/>
    <mergeCell ref="CX13:DI13"/>
    <mergeCell ref="CL15:CW15"/>
    <mergeCell ref="A16:G16"/>
    <mergeCell ref="H16:AE16"/>
    <mergeCell ref="AF16:AO16"/>
    <mergeCell ref="AP16:BM16"/>
    <mergeCell ref="BN16:CK16"/>
    <mergeCell ref="A15:G15"/>
    <mergeCell ref="I15:AE15"/>
    <mergeCell ref="AF15:AO15"/>
    <mergeCell ref="AP15:BM15"/>
    <mergeCell ref="BN15:CK15"/>
    <mergeCell ref="EH16:ES16"/>
    <mergeCell ref="ET16:FE16"/>
    <mergeCell ref="CX15:DI15"/>
    <mergeCell ref="DJ15:DU15"/>
    <mergeCell ref="DV15:EG15"/>
    <mergeCell ref="EH15:ES15"/>
    <mergeCell ref="ET15:FE15"/>
    <mergeCell ref="CL17:CW17"/>
    <mergeCell ref="CL16:CW16"/>
    <mergeCell ref="CX16:DI16"/>
    <mergeCell ref="DJ16:DU16"/>
    <mergeCell ref="DV16:EG16"/>
    <mergeCell ref="A17:G17"/>
    <mergeCell ref="I17:AE17"/>
    <mergeCell ref="AF17:AO17"/>
    <mergeCell ref="AP17:BM17"/>
    <mergeCell ref="BN17:CK17"/>
    <mergeCell ref="A18:G18"/>
    <mergeCell ref="I18:AE18"/>
    <mergeCell ref="AF18:AO18"/>
    <mergeCell ref="AP18:BM18"/>
    <mergeCell ref="BN18:CK18"/>
    <mergeCell ref="EH18:ES18"/>
    <mergeCell ref="ET18:FE18"/>
    <mergeCell ref="CX17:DI17"/>
    <mergeCell ref="DJ17:DU17"/>
    <mergeCell ref="DV17:EG17"/>
    <mergeCell ref="EH17:ES17"/>
    <mergeCell ref="ET17:FE17"/>
    <mergeCell ref="N22:CG22"/>
    <mergeCell ref="CL18:CW18"/>
    <mergeCell ref="CX18:DI18"/>
    <mergeCell ref="DJ18:DU18"/>
    <mergeCell ref="DV18:EG1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Z22"/>
  <sheetViews>
    <sheetView workbookViewId="0">
      <selection activeCell="P20" sqref="P20"/>
    </sheetView>
  </sheetViews>
  <sheetFormatPr defaultRowHeight="15" x14ac:dyDescent="0.25"/>
  <cols>
    <col min="2" max="2" width="21.85546875" customWidth="1"/>
    <col min="6" max="11" width="7.42578125" customWidth="1"/>
    <col min="12" max="26" width="7.5703125" customWidth="1"/>
  </cols>
  <sheetData>
    <row r="5" spans="1:26" x14ac:dyDescent="0.25">
      <c r="Z5" s="5" t="s">
        <v>12</v>
      </c>
    </row>
    <row r="6" spans="1:26" x14ac:dyDescent="0.25">
      <c r="E6" s="4" t="s">
        <v>5</v>
      </c>
    </row>
    <row r="7" spans="1:26" x14ac:dyDescent="0.25">
      <c r="E7" s="4" t="s">
        <v>6</v>
      </c>
    </row>
    <row r="8" spans="1:26" ht="16.5" customHeight="1" x14ac:dyDescent="0.25">
      <c r="E8" s="4" t="s">
        <v>107</v>
      </c>
    </row>
    <row r="9" spans="1:26" ht="18.75" customHeight="1" x14ac:dyDescent="0.25">
      <c r="E9" s="10" t="s">
        <v>110</v>
      </c>
    </row>
    <row r="10" spans="1:26" ht="51" customHeight="1" x14ac:dyDescent="0.25">
      <c r="A10" s="48" t="s">
        <v>0</v>
      </c>
      <c r="B10" s="48" t="s">
        <v>1</v>
      </c>
      <c r="C10" s="48" t="s">
        <v>2</v>
      </c>
      <c r="D10" s="48" t="s">
        <v>3</v>
      </c>
      <c r="E10" s="48" t="s">
        <v>4</v>
      </c>
      <c r="F10" s="92" t="s">
        <v>7</v>
      </c>
      <c r="G10" s="93" t="s">
        <v>8</v>
      </c>
      <c r="H10" s="94"/>
      <c r="I10" s="94"/>
      <c r="J10" s="95"/>
      <c r="K10" s="96"/>
      <c r="L10" s="93" t="s">
        <v>9</v>
      </c>
      <c r="M10" s="94"/>
      <c r="N10" s="94"/>
      <c r="O10" s="95"/>
      <c r="P10" s="96"/>
      <c r="Q10" s="93" t="s">
        <v>10</v>
      </c>
      <c r="R10" s="94"/>
      <c r="S10" s="94"/>
      <c r="T10" s="95"/>
      <c r="U10" s="96"/>
      <c r="V10" s="48" t="s">
        <v>11</v>
      </c>
      <c r="W10" s="48"/>
      <c r="X10" s="48"/>
      <c r="Y10" s="97"/>
      <c r="Z10" s="97"/>
    </row>
    <row r="11" spans="1:26" x14ac:dyDescent="0.25">
      <c r="A11" s="48"/>
      <c r="B11" s="48"/>
      <c r="C11" s="48"/>
      <c r="D11" s="48"/>
      <c r="E11" s="48"/>
      <c r="F11" s="92"/>
      <c r="G11" s="2" t="s">
        <v>65</v>
      </c>
      <c r="H11" s="2" t="s">
        <v>72</v>
      </c>
      <c r="I11" s="12" t="s">
        <v>73</v>
      </c>
      <c r="J11" s="21" t="s">
        <v>74</v>
      </c>
      <c r="K11" s="21" t="s">
        <v>75</v>
      </c>
      <c r="L11" s="21" t="s">
        <v>65</v>
      </c>
      <c r="M11" s="21" t="s">
        <v>72</v>
      </c>
      <c r="N11" s="21" t="s">
        <v>73</v>
      </c>
      <c r="O11" s="21" t="s">
        <v>74</v>
      </c>
      <c r="P11" s="21" t="s">
        <v>75</v>
      </c>
      <c r="Q11" s="21" t="s">
        <v>65</v>
      </c>
      <c r="R11" s="21" t="s">
        <v>72</v>
      </c>
      <c r="S11" s="21" t="s">
        <v>73</v>
      </c>
      <c r="T11" s="21" t="s">
        <v>74</v>
      </c>
      <c r="U11" s="21" t="s">
        <v>75</v>
      </c>
      <c r="V11" s="21" t="s">
        <v>65</v>
      </c>
      <c r="W11" s="21" t="s">
        <v>72</v>
      </c>
      <c r="X11" s="21" t="s">
        <v>73</v>
      </c>
      <c r="Y11" s="21" t="s">
        <v>74</v>
      </c>
      <c r="Z11" s="21" t="s">
        <v>75</v>
      </c>
    </row>
    <row r="12" spans="1:26" s="14" customFormat="1" ht="12" x14ac:dyDescent="0.2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f>I12+1</f>
        <v>10</v>
      </c>
      <c r="K12" s="22">
        <f t="shared" ref="K12:Z12" si="0">J12+1</f>
        <v>11</v>
      </c>
      <c r="L12" s="22">
        <f t="shared" si="0"/>
        <v>12</v>
      </c>
      <c r="M12" s="22">
        <f t="shared" si="0"/>
        <v>13</v>
      </c>
      <c r="N12" s="22">
        <f t="shared" si="0"/>
        <v>14</v>
      </c>
      <c r="O12" s="22">
        <f t="shared" si="0"/>
        <v>15</v>
      </c>
      <c r="P12" s="22">
        <f t="shared" si="0"/>
        <v>16</v>
      </c>
      <c r="Q12" s="22">
        <f t="shared" si="0"/>
        <v>17</v>
      </c>
      <c r="R12" s="22">
        <f t="shared" si="0"/>
        <v>18</v>
      </c>
      <c r="S12" s="22">
        <f t="shared" si="0"/>
        <v>19</v>
      </c>
      <c r="T12" s="22">
        <f t="shared" si="0"/>
        <v>20</v>
      </c>
      <c r="U12" s="22">
        <f t="shared" si="0"/>
        <v>21</v>
      </c>
      <c r="V12" s="22">
        <f t="shared" si="0"/>
        <v>22</v>
      </c>
      <c r="W12" s="22">
        <f t="shared" si="0"/>
        <v>23</v>
      </c>
      <c r="X12" s="22">
        <f t="shared" si="0"/>
        <v>24</v>
      </c>
      <c r="Y12" s="22">
        <f t="shared" si="0"/>
        <v>25</v>
      </c>
      <c r="Z12" s="22">
        <f t="shared" si="0"/>
        <v>26</v>
      </c>
    </row>
    <row r="13" spans="1:26" s="37" customFormat="1" ht="38.25" x14ac:dyDescent="0.25">
      <c r="A13" s="34">
        <v>1</v>
      </c>
      <c r="B13" s="35" t="s">
        <v>57</v>
      </c>
      <c r="C13" s="35" t="s">
        <v>56</v>
      </c>
      <c r="D13" s="35"/>
      <c r="E13" s="35"/>
      <c r="F13" s="35">
        <v>282070</v>
      </c>
      <c r="G13" s="35">
        <v>283050</v>
      </c>
      <c r="H13" s="35">
        <v>283070</v>
      </c>
      <c r="I13" s="35">
        <v>284020</v>
      </c>
      <c r="J13" s="35">
        <v>285010</v>
      </c>
      <c r="K13" s="35">
        <v>286000</v>
      </c>
      <c r="L13" s="35">
        <v>278141</v>
      </c>
      <c r="M13" s="35">
        <v>278666.7</v>
      </c>
      <c r="N13" s="34">
        <v>272315.78100000002</v>
      </c>
      <c r="O13" s="34">
        <v>265320.663</v>
      </c>
      <c r="P13" s="34" t="s">
        <v>76</v>
      </c>
      <c r="Q13" s="35">
        <f>G13-L13</f>
        <v>4909</v>
      </c>
      <c r="R13" s="35">
        <f t="shared" ref="R13:S13" si="1">H13-M13</f>
        <v>4403.2999999999884</v>
      </c>
      <c r="S13" s="35">
        <f t="shared" si="1"/>
        <v>11704.218999999983</v>
      </c>
      <c r="T13" s="35">
        <f>J13-O13</f>
        <v>19689.337</v>
      </c>
      <c r="U13" s="34" t="s">
        <v>76</v>
      </c>
      <c r="V13" s="36">
        <f>Q13/G13*100</f>
        <v>1.7343225578519699</v>
      </c>
      <c r="W13" s="36">
        <f>R13/H13*100</f>
        <v>1.5555516303387813</v>
      </c>
      <c r="X13" s="36">
        <f>S13/I13*100</f>
        <v>4.1209136680515392</v>
      </c>
      <c r="Y13" s="36">
        <f>T13/J13*100</f>
        <v>6.9082969018630926</v>
      </c>
      <c r="Z13" s="34" t="s">
        <v>76</v>
      </c>
    </row>
    <row r="14" spans="1:26" s="37" customFormat="1" ht="38.25" x14ac:dyDescent="0.25">
      <c r="A14" s="34">
        <v>2</v>
      </c>
      <c r="B14" s="35" t="s">
        <v>58</v>
      </c>
      <c r="C14" s="35" t="s">
        <v>56</v>
      </c>
      <c r="D14" s="35"/>
      <c r="E14" s="35"/>
      <c r="F14" s="38">
        <f>F13-F15</f>
        <v>241000</v>
      </c>
      <c r="G14" s="38">
        <f>G13-G15</f>
        <v>241980</v>
      </c>
      <c r="H14" s="38">
        <f t="shared" ref="H14:O14" si="2">H13-H15</f>
        <v>242000</v>
      </c>
      <c r="I14" s="38">
        <f t="shared" si="2"/>
        <v>242950</v>
      </c>
      <c r="J14" s="38">
        <f t="shared" si="2"/>
        <v>243940</v>
      </c>
      <c r="K14" s="38">
        <f t="shared" si="2"/>
        <v>244930</v>
      </c>
      <c r="L14" s="38">
        <f t="shared" si="2"/>
        <v>239336</v>
      </c>
      <c r="M14" s="38">
        <f t="shared" si="2"/>
        <v>241631.80000000002</v>
      </c>
      <c r="N14" s="38">
        <f t="shared" si="2"/>
        <v>240440.44100000002</v>
      </c>
      <c r="O14" s="38">
        <f t="shared" si="2"/>
        <v>235876.44</v>
      </c>
      <c r="P14" s="34" t="s">
        <v>76</v>
      </c>
      <c r="Q14" s="35">
        <f t="shared" ref="Q14:Q16" si="3">G14-L14</f>
        <v>2644</v>
      </c>
      <c r="R14" s="35">
        <f t="shared" ref="R14:T16" si="4">H14-M14</f>
        <v>368.19999999998254</v>
      </c>
      <c r="S14" s="35">
        <f t="shared" si="4"/>
        <v>2509.5589999999793</v>
      </c>
      <c r="T14" s="35">
        <f t="shared" si="4"/>
        <v>8063.5599999999977</v>
      </c>
      <c r="U14" s="34" t="s">
        <v>76</v>
      </c>
      <c r="V14" s="36">
        <f t="shared" ref="V14:Y17" si="5">Q14/G14*100</f>
        <v>1.0926522853128358</v>
      </c>
      <c r="W14" s="36">
        <f t="shared" si="5"/>
        <v>0.15214876033057129</v>
      </c>
      <c r="X14" s="36">
        <f t="shared" si="5"/>
        <v>1.0329528709610947</v>
      </c>
      <c r="Y14" s="36">
        <f t="shared" si="5"/>
        <v>3.3055505452160356</v>
      </c>
      <c r="Z14" s="34" t="s">
        <v>76</v>
      </c>
    </row>
    <row r="15" spans="1:26" s="37" customFormat="1" x14ac:dyDescent="0.25">
      <c r="A15" s="34">
        <v>3</v>
      </c>
      <c r="B15" s="35" t="s">
        <v>59</v>
      </c>
      <c r="C15" s="35" t="s">
        <v>56</v>
      </c>
      <c r="D15" s="35"/>
      <c r="E15" s="35"/>
      <c r="F15" s="38">
        <v>41070</v>
      </c>
      <c r="G15" s="38">
        <v>41070</v>
      </c>
      <c r="H15" s="38">
        <v>41070</v>
      </c>
      <c r="I15" s="38">
        <v>41070</v>
      </c>
      <c r="J15" s="38">
        <v>41070</v>
      </c>
      <c r="K15" s="38">
        <v>41070</v>
      </c>
      <c r="L15" s="38">
        <v>38805</v>
      </c>
      <c r="M15" s="38">
        <v>37034.9</v>
      </c>
      <c r="N15" s="34">
        <v>31875.34</v>
      </c>
      <c r="O15" s="34">
        <v>29444.223000000002</v>
      </c>
      <c r="P15" s="34" t="s">
        <v>76</v>
      </c>
      <c r="Q15" s="35">
        <f t="shared" si="3"/>
        <v>2265</v>
      </c>
      <c r="R15" s="35">
        <f t="shared" si="4"/>
        <v>4035.0999999999985</v>
      </c>
      <c r="S15" s="35">
        <f t="shared" si="4"/>
        <v>9194.66</v>
      </c>
      <c r="T15" s="35">
        <f t="shared" si="4"/>
        <v>11625.776999999998</v>
      </c>
      <c r="U15" s="34" t="s">
        <v>76</v>
      </c>
      <c r="V15" s="36">
        <f t="shared" si="5"/>
        <v>5.5149744338933528</v>
      </c>
      <c r="W15" s="36">
        <f t="shared" si="5"/>
        <v>9.8249330411492544</v>
      </c>
      <c r="X15" s="36">
        <f t="shared" si="5"/>
        <v>22.387776966155347</v>
      </c>
      <c r="Y15" s="36">
        <f t="shared" si="5"/>
        <v>28.307224251278303</v>
      </c>
      <c r="Z15" s="34" t="s">
        <v>76</v>
      </c>
    </row>
    <row r="16" spans="1:26" s="37" customFormat="1" x14ac:dyDescent="0.25">
      <c r="A16" s="39"/>
      <c r="B16" s="35" t="s">
        <v>59</v>
      </c>
      <c r="C16" s="35" t="s">
        <v>61</v>
      </c>
      <c r="D16" s="35"/>
      <c r="E16" s="35"/>
      <c r="F16" s="40">
        <f>F15/F13*100</f>
        <v>14.560215549331726</v>
      </c>
      <c r="G16" s="35">
        <v>14.56</v>
      </c>
      <c r="H16" s="35">
        <v>14.56</v>
      </c>
      <c r="I16" s="35">
        <v>14.51</v>
      </c>
      <c r="J16" s="40">
        <f>J15/J13*100</f>
        <v>14.410020701028033</v>
      </c>
      <c r="K16" s="40">
        <f>K15/K13*100</f>
        <v>14.360139860139858</v>
      </c>
      <c r="L16" s="35">
        <v>13.95</v>
      </c>
      <c r="M16" s="40">
        <f>M15/M13*100</f>
        <v>13.290034295450443</v>
      </c>
      <c r="N16" s="40">
        <f>N15/N13*100</f>
        <v>11.705285636751253</v>
      </c>
      <c r="O16" s="40">
        <f>O15/O13*100</f>
        <v>11.097598908080522</v>
      </c>
      <c r="P16" s="34" t="s">
        <v>76</v>
      </c>
      <c r="Q16" s="35">
        <f t="shared" si="3"/>
        <v>0.61000000000000121</v>
      </c>
      <c r="R16" s="40">
        <f t="shared" si="4"/>
        <v>1.2699657045495574</v>
      </c>
      <c r="S16" s="40">
        <f t="shared" si="4"/>
        <v>2.8047143632487472</v>
      </c>
      <c r="T16" s="40">
        <f t="shared" si="4"/>
        <v>3.3124217929475108</v>
      </c>
      <c r="U16" s="34" t="s">
        <v>76</v>
      </c>
      <c r="V16" s="36">
        <f t="shared" si="5"/>
        <v>4.1895604395604478</v>
      </c>
      <c r="W16" s="36">
        <f t="shared" si="5"/>
        <v>8.722291926851355</v>
      </c>
      <c r="X16" s="36">
        <f t="shared" si="5"/>
        <v>19.329526969322863</v>
      </c>
      <c r="Y16" s="36">
        <f t="shared" si="5"/>
        <v>22.986932924469688</v>
      </c>
      <c r="Z16" s="34" t="s">
        <v>76</v>
      </c>
    </row>
    <row r="17" spans="1:26" s="37" customFormat="1" ht="76.5" x14ac:dyDescent="0.25">
      <c r="A17" s="35">
        <v>4</v>
      </c>
      <c r="B17" s="35" t="s">
        <v>60</v>
      </c>
      <c r="C17" s="35" t="s">
        <v>61</v>
      </c>
      <c r="D17" s="35"/>
      <c r="E17" s="35"/>
      <c r="F17" s="41">
        <v>100</v>
      </c>
      <c r="G17" s="41">
        <v>100</v>
      </c>
      <c r="H17" s="41">
        <v>100</v>
      </c>
      <c r="I17" s="41">
        <v>100</v>
      </c>
      <c r="J17" s="41">
        <v>100</v>
      </c>
      <c r="K17" s="41">
        <v>100</v>
      </c>
      <c r="L17" s="41">
        <v>100</v>
      </c>
      <c r="M17" s="41">
        <v>100</v>
      </c>
      <c r="N17" s="41">
        <v>100</v>
      </c>
      <c r="O17" s="34">
        <v>100</v>
      </c>
      <c r="P17" s="34" t="s">
        <v>76</v>
      </c>
      <c r="Q17" s="42">
        <f t="shared" ref="Q17" si="6">G17-L17</f>
        <v>0</v>
      </c>
      <c r="R17" s="42">
        <f t="shared" ref="R17:S17" si="7">H17-M17</f>
        <v>0</v>
      </c>
      <c r="S17" s="42">
        <f t="shared" si="7"/>
        <v>0</v>
      </c>
      <c r="T17" s="42">
        <f>J17-O17</f>
        <v>0</v>
      </c>
      <c r="U17" s="34" t="s">
        <v>76</v>
      </c>
      <c r="V17" s="36">
        <f t="shared" si="5"/>
        <v>0</v>
      </c>
      <c r="W17" s="36">
        <f t="shared" si="5"/>
        <v>0</v>
      </c>
      <c r="X17" s="36">
        <f t="shared" si="5"/>
        <v>0</v>
      </c>
      <c r="Y17" s="36">
        <f t="shared" si="5"/>
        <v>0</v>
      </c>
      <c r="Z17" s="34" t="s">
        <v>76</v>
      </c>
    </row>
    <row r="18" spans="1:26" x14ac:dyDescent="0.25">
      <c r="A18" s="6"/>
    </row>
    <row r="19" spans="1:26" x14ac:dyDescent="0.25">
      <c r="A19" s="1" t="s">
        <v>41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1" spans="1:26" x14ac:dyDescent="0.25">
      <c r="A21" s="6"/>
    </row>
    <row r="22" spans="1:26" x14ac:dyDescent="0.25">
      <c r="A22" t="s">
        <v>108</v>
      </c>
      <c r="E22" t="s">
        <v>109</v>
      </c>
    </row>
  </sheetData>
  <mergeCells count="10">
    <mergeCell ref="A10:A11"/>
    <mergeCell ref="B10:B11"/>
    <mergeCell ref="C10:C11"/>
    <mergeCell ref="D10:D11"/>
    <mergeCell ref="E10:E11"/>
    <mergeCell ref="F10:F11"/>
    <mergeCell ref="G10:K10"/>
    <mergeCell ref="L10:P10"/>
    <mergeCell ref="Q10:U10"/>
    <mergeCell ref="V10:Z10"/>
  </mergeCells>
  <hyperlinks>
    <hyperlink ref="F10" location="Par1330" display="Par1330" xr:uid="{00000000-0004-0000-0200-000000000000}"/>
  </hyperlinks>
  <pageMargins left="0.7" right="0.7" top="0.75" bottom="0.75" header="0.3" footer="0.3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9"/>
  <sheetViews>
    <sheetView topLeftCell="A7" workbookViewId="0">
      <selection activeCell="D13" sqref="D13:W15"/>
    </sheetView>
  </sheetViews>
  <sheetFormatPr defaultRowHeight="12" x14ac:dyDescent="0.2"/>
  <cols>
    <col min="1" max="1" width="4.85546875" style="14" customWidth="1"/>
    <col min="2" max="2" width="24.85546875" style="14" customWidth="1"/>
    <col min="3" max="3" width="7.85546875" style="14" customWidth="1"/>
    <col min="4" max="4" width="7.42578125" style="14" customWidth="1"/>
    <col min="5" max="5" width="7.7109375" style="14" customWidth="1"/>
    <col min="6" max="6" width="9.140625" style="14"/>
    <col min="7" max="7" width="8.28515625" style="14" customWidth="1"/>
    <col min="8" max="8" width="8" style="14" customWidth="1"/>
    <col min="9" max="9" width="7.7109375" style="14" customWidth="1"/>
    <col min="10" max="10" width="9.42578125" style="14" customWidth="1"/>
    <col min="11" max="11" width="7.7109375" style="14" customWidth="1"/>
    <col min="12" max="12" width="8.28515625" style="14" customWidth="1"/>
    <col min="13" max="13" width="7.42578125" style="14" customWidth="1"/>
    <col min="14" max="14" width="8.5703125" style="14" customWidth="1"/>
    <col min="15" max="15" width="7.85546875" style="14" customWidth="1"/>
    <col min="16" max="16" width="7.5703125" style="14" customWidth="1"/>
    <col min="17" max="17" width="8.7109375" style="14" customWidth="1"/>
    <col min="18" max="18" width="7.85546875" style="14" customWidth="1"/>
    <col min="19" max="19" width="8.42578125" style="14" customWidth="1"/>
    <col min="20" max="20" width="9.42578125" style="14" bestFit="1" customWidth="1"/>
    <col min="21" max="22" width="9.140625" style="14"/>
    <col min="23" max="23" width="8.140625" style="14" customWidth="1"/>
    <col min="24" max="16384" width="9.140625" style="14"/>
  </cols>
  <sheetData>
    <row r="1" spans="1:23" x14ac:dyDescent="0.2">
      <c r="W1" s="15" t="s">
        <v>55</v>
      </c>
    </row>
    <row r="3" spans="1:23" x14ac:dyDescent="0.2">
      <c r="J3" s="16" t="s">
        <v>51</v>
      </c>
    </row>
    <row r="4" spans="1:23" x14ac:dyDescent="0.2">
      <c r="J4" s="16" t="s">
        <v>52</v>
      </c>
    </row>
    <row r="5" spans="1:23" x14ac:dyDescent="0.2">
      <c r="J5" s="16" t="s">
        <v>53</v>
      </c>
    </row>
    <row r="6" spans="1:23" x14ac:dyDescent="0.2">
      <c r="J6" s="16" t="s">
        <v>54</v>
      </c>
    </row>
    <row r="7" spans="1:23" ht="18.75" customHeight="1" x14ac:dyDescent="0.2">
      <c r="J7" s="16" t="str">
        <f>'Приложение 5'!E9</f>
        <v>ГУП "Региональные электрические сети" РБ</v>
      </c>
    </row>
    <row r="8" spans="1:23" x14ac:dyDescent="0.2">
      <c r="A8" s="98" t="s">
        <v>0</v>
      </c>
      <c r="B8" s="98" t="s">
        <v>42</v>
      </c>
      <c r="C8" s="98" t="s">
        <v>43</v>
      </c>
      <c r="D8" s="98"/>
      <c r="E8" s="98"/>
      <c r="F8" s="98"/>
      <c r="G8" s="98"/>
      <c r="H8" s="98" t="s">
        <v>44</v>
      </c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 t="s">
        <v>45</v>
      </c>
      <c r="U8" s="98"/>
      <c r="V8" s="98"/>
      <c r="W8" s="98"/>
    </row>
    <row r="9" spans="1:23" x14ac:dyDescent="0.2">
      <c r="A9" s="98"/>
      <c r="B9" s="98"/>
      <c r="C9" s="98" t="s">
        <v>46</v>
      </c>
      <c r="D9" s="98" t="s">
        <v>32</v>
      </c>
      <c r="E9" s="98"/>
      <c r="F9" s="98" t="s">
        <v>33</v>
      </c>
      <c r="G9" s="98"/>
      <c r="H9" s="98" t="s">
        <v>32</v>
      </c>
      <c r="I9" s="98"/>
      <c r="J9" s="98"/>
      <c r="K9" s="98"/>
      <c r="L9" s="98"/>
      <c r="M9" s="98"/>
      <c r="N9" s="98" t="s">
        <v>33</v>
      </c>
      <c r="O9" s="98"/>
      <c r="P9" s="98"/>
      <c r="Q9" s="98"/>
      <c r="R9" s="98"/>
      <c r="S9" s="98"/>
      <c r="T9" s="98" t="s">
        <v>32</v>
      </c>
      <c r="U9" s="98"/>
      <c r="V9" s="98" t="s">
        <v>33</v>
      </c>
      <c r="W9" s="98"/>
    </row>
    <row r="10" spans="1:23" ht="38.25" customHeight="1" x14ac:dyDescent="0.2">
      <c r="A10" s="98"/>
      <c r="B10" s="98"/>
      <c r="C10" s="98"/>
      <c r="D10" s="98" t="s">
        <v>47</v>
      </c>
      <c r="E10" s="98" t="s">
        <v>48</v>
      </c>
      <c r="F10" s="98" t="s">
        <v>47</v>
      </c>
      <c r="G10" s="98" t="s">
        <v>48</v>
      </c>
      <c r="H10" s="98" t="s">
        <v>47</v>
      </c>
      <c r="I10" s="98"/>
      <c r="J10" s="98"/>
      <c r="K10" s="98" t="s">
        <v>48</v>
      </c>
      <c r="L10" s="98"/>
      <c r="M10" s="98"/>
      <c r="N10" s="98" t="s">
        <v>47</v>
      </c>
      <c r="O10" s="98"/>
      <c r="P10" s="98"/>
      <c r="Q10" s="98" t="s">
        <v>48</v>
      </c>
      <c r="R10" s="98"/>
      <c r="S10" s="98"/>
      <c r="T10" s="98" t="s">
        <v>47</v>
      </c>
      <c r="U10" s="98" t="s">
        <v>48</v>
      </c>
      <c r="V10" s="98" t="s">
        <v>47</v>
      </c>
      <c r="W10" s="98" t="s">
        <v>48</v>
      </c>
    </row>
    <row r="11" spans="1:23" ht="132" x14ac:dyDescent="0.2">
      <c r="A11" s="98"/>
      <c r="B11" s="98"/>
      <c r="C11" s="98"/>
      <c r="D11" s="98"/>
      <c r="E11" s="98"/>
      <c r="F11" s="98"/>
      <c r="G11" s="98"/>
      <c r="H11" s="13" t="s">
        <v>106</v>
      </c>
      <c r="I11" s="13" t="s">
        <v>49</v>
      </c>
      <c r="J11" s="13" t="s">
        <v>50</v>
      </c>
      <c r="K11" s="13" t="s">
        <v>106</v>
      </c>
      <c r="L11" s="13" t="s">
        <v>49</v>
      </c>
      <c r="M11" s="13" t="s">
        <v>50</v>
      </c>
      <c r="N11" s="13" t="s">
        <v>106</v>
      </c>
      <c r="O11" s="13" t="s">
        <v>49</v>
      </c>
      <c r="P11" s="13" t="s">
        <v>50</v>
      </c>
      <c r="Q11" s="13" t="s">
        <v>106</v>
      </c>
      <c r="R11" s="13" t="s">
        <v>49</v>
      </c>
      <c r="S11" s="13" t="s">
        <v>50</v>
      </c>
      <c r="T11" s="98"/>
      <c r="U11" s="98"/>
      <c r="V11" s="98"/>
      <c r="W11" s="98"/>
    </row>
    <row r="12" spans="1:23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3">
        <v>11</v>
      </c>
      <c r="L12" s="13">
        <v>12</v>
      </c>
      <c r="M12" s="13">
        <v>13</v>
      </c>
      <c r="N12" s="13">
        <v>14</v>
      </c>
      <c r="O12" s="13">
        <v>15</v>
      </c>
      <c r="P12" s="13">
        <v>16</v>
      </c>
      <c r="Q12" s="13">
        <v>17</v>
      </c>
      <c r="R12" s="13">
        <v>18</v>
      </c>
      <c r="S12" s="13">
        <v>19</v>
      </c>
      <c r="T12" s="13">
        <v>20</v>
      </c>
      <c r="U12" s="13">
        <v>21</v>
      </c>
      <c r="V12" s="13">
        <v>22</v>
      </c>
      <c r="W12" s="13">
        <v>23</v>
      </c>
    </row>
    <row r="13" spans="1:23" ht="84" customHeight="1" x14ac:dyDescent="0.2">
      <c r="A13" s="18" t="s">
        <v>66</v>
      </c>
      <c r="B13" s="13" t="s">
        <v>105</v>
      </c>
      <c r="C13" s="13" t="s">
        <v>67</v>
      </c>
      <c r="D13" s="99">
        <f>20+12+20+20+20</f>
        <v>92</v>
      </c>
      <c r="E13" s="99">
        <v>20</v>
      </c>
      <c r="F13" s="99">
        <f>22+12+20+20</f>
        <v>74</v>
      </c>
      <c r="G13" s="99">
        <v>20</v>
      </c>
      <c r="H13" s="99">
        <v>75.16</v>
      </c>
      <c r="I13" s="100">
        <f>H13*0.3445</f>
        <v>25.892619999999997</v>
      </c>
      <c r="J13" s="100">
        <f>H13*1.9792/1000</f>
        <v>0.14875667200000001</v>
      </c>
      <c r="K13" s="99">
        <v>24.77</v>
      </c>
      <c r="L13" s="100">
        <f>K13*0.3445</f>
        <v>8.5332649999999983</v>
      </c>
      <c r="M13" s="100">
        <f>K13*1.9792/1000</f>
        <v>4.9024784000000002E-2</v>
      </c>
      <c r="N13" s="99">
        <f>H13+Q13</f>
        <v>99.5</v>
      </c>
      <c r="O13" s="100">
        <f>N13*0.3445</f>
        <v>34.277749999999997</v>
      </c>
      <c r="P13" s="100">
        <f>N13*2.2576998/1000</f>
        <v>0.22464113010000003</v>
      </c>
      <c r="Q13" s="99">
        <v>24.34</v>
      </c>
      <c r="R13" s="100">
        <f>Q13*0.3445</f>
        <v>8.3851299999999984</v>
      </c>
      <c r="S13" s="100">
        <f>Q13*2.576998/1000</f>
        <v>6.2724131320000001E-2</v>
      </c>
      <c r="T13" s="100">
        <f>4.15+2.11+4.195+U13</f>
        <v>14.541</v>
      </c>
      <c r="U13" s="100">
        <v>4.0860000000000003</v>
      </c>
      <c r="V13" s="100">
        <f>4.389+2.19+3.54+W13</f>
        <v>14.404999999999999</v>
      </c>
      <c r="W13" s="100">
        <v>4.2859999999999996</v>
      </c>
    </row>
    <row r="14" spans="1:23" ht="58.5" customHeight="1" x14ac:dyDescent="0.2">
      <c r="A14" s="13" t="s">
        <v>69</v>
      </c>
      <c r="B14" s="13" t="s">
        <v>68</v>
      </c>
      <c r="C14" s="17" t="s">
        <v>67</v>
      </c>
      <c r="D14" s="99">
        <v>152</v>
      </c>
      <c r="E14" s="99">
        <v>69</v>
      </c>
      <c r="F14" s="99">
        <f>0+27+56</f>
        <v>83</v>
      </c>
      <c r="G14" s="99">
        <v>56</v>
      </c>
      <c r="H14" s="99">
        <v>4.34</v>
      </c>
      <c r="I14" s="100">
        <f>H14*0.3445</f>
        <v>1.4951299999999998</v>
      </c>
      <c r="J14" s="100">
        <f>H14*3.48/1000</f>
        <v>1.5103199999999999E-2</v>
      </c>
      <c r="K14" s="99">
        <v>2.71</v>
      </c>
      <c r="L14" s="100">
        <f t="shared" ref="L14:L15" si="0">K14*0.3445</f>
        <v>0.93359499999999995</v>
      </c>
      <c r="M14" s="100">
        <f>K14*3.48/1000</f>
        <v>9.4307999999999996E-3</v>
      </c>
      <c r="N14" s="99">
        <f>H14+Q14</f>
        <v>6.51</v>
      </c>
      <c r="O14" s="100">
        <f t="shared" ref="O14" si="1">N14*0.3445</f>
        <v>2.2426949999999999</v>
      </c>
      <c r="P14" s="100">
        <f>N14*4.69987/1000</f>
        <v>3.05961537E-2</v>
      </c>
      <c r="Q14" s="99">
        <v>2.17</v>
      </c>
      <c r="R14" s="100">
        <f t="shared" ref="R14" si="2">Q14*0.3445</f>
        <v>0.74756499999999992</v>
      </c>
      <c r="S14" s="100">
        <f>Q14*4.69987/1000</f>
        <v>1.0198717899999998E-2</v>
      </c>
      <c r="T14" s="99">
        <f xml:space="preserve"> 0+0.05+0.05+U14</f>
        <v>0.15000000000000002</v>
      </c>
      <c r="U14" s="99">
        <v>0.05</v>
      </c>
      <c r="V14" s="99">
        <f>0+0.05+W14</f>
        <v>0.1</v>
      </c>
      <c r="W14" s="99">
        <v>0.05</v>
      </c>
    </row>
    <row r="15" spans="1:23" ht="120" x14ac:dyDescent="0.2">
      <c r="A15" s="13" t="s">
        <v>71</v>
      </c>
      <c r="B15" s="13" t="s">
        <v>70</v>
      </c>
      <c r="C15" s="17" t="s">
        <v>67</v>
      </c>
      <c r="D15" s="99">
        <v>671</v>
      </c>
      <c r="E15" s="99">
        <v>136</v>
      </c>
      <c r="F15" s="99">
        <f>343+459+459</f>
        <v>1261</v>
      </c>
      <c r="G15" s="99">
        <v>459</v>
      </c>
      <c r="H15" s="99">
        <v>345</v>
      </c>
      <c r="I15" s="100">
        <f>H15*0.3445</f>
        <v>118.85249999999999</v>
      </c>
      <c r="J15" s="100">
        <f>H15*1.9792/1000</f>
        <v>0.6828240000000001</v>
      </c>
      <c r="K15" s="99">
        <v>115</v>
      </c>
      <c r="L15" s="100">
        <f t="shared" si="0"/>
        <v>39.6175</v>
      </c>
      <c r="M15" s="100">
        <f t="shared" ref="M15" si="3">K15*1.9792/1000</f>
        <v>0.227608</v>
      </c>
      <c r="N15" s="99">
        <f>H15+Q15</f>
        <v>683.3</v>
      </c>
      <c r="O15" s="100">
        <f>N15*0.3445</f>
        <v>235.39684999999997</v>
      </c>
      <c r="P15" s="100">
        <f>N15*2.576998/1000</f>
        <v>1.7608627334</v>
      </c>
      <c r="Q15" s="99">
        <v>338.3</v>
      </c>
      <c r="R15" s="100">
        <f>Q15*0.3445</f>
        <v>116.54434999999999</v>
      </c>
      <c r="S15" s="100">
        <f>Q15*2.576998/1000</f>
        <v>0.87179842340000002</v>
      </c>
      <c r="T15" s="100">
        <f>1.366+4.138+4.094+U15</f>
        <v>14.41</v>
      </c>
      <c r="U15" s="100">
        <v>4.8120000000000003</v>
      </c>
      <c r="V15" s="100">
        <f>2.71+4.345+4.46+W15</f>
        <v>17.736000000000001</v>
      </c>
      <c r="W15" s="100">
        <v>6.2210000000000001</v>
      </c>
    </row>
    <row r="17" spans="1:23" x14ac:dyDescent="0.2">
      <c r="T17" s="33"/>
      <c r="U17" s="32"/>
      <c r="V17" s="33"/>
      <c r="W17" s="32"/>
    </row>
    <row r="19" spans="1:23" x14ac:dyDescent="0.2">
      <c r="A19" s="14" t="s">
        <v>62</v>
      </c>
      <c r="C19" s="14" t="s">
        <v>63</v>
      </c>
    </row>
  </sheetData>
  <mergeCells count="24">
    <mergeCell ref="A8:A11"/>
    <mergeCell ref="B8:B11"/>
    <mergeCell ref="C8:G8"/>
    <mergeCell ref="H8:S8"/>
    <mergeCell ref="D10:D11"/>
    <mergeCell ref="E10:E11"/>
    <mergeCell ref="F10:F11"/>
    <mergeCell ref="G10:G11"/>
    <mergeCell ref="H10:J10"/>
    <mergeCell ref="T8:W8"/>
    <mergeCell ref="C9:C11"/>
    <mergeCell ref="D9:E9"/>
    <mergeCell ref="F9:G9"/>
    <mergeCell ref="H9:M9"/>
    <mergeCell ref="N9:S9"/>
    <mergeCell ref="K10:M10"/>
    <mergeCell ref="N10:P10"/>
    <mergeCell ref="Q10:S10"/>
    <mergeCell ref="T10:T11"/>
    <mergeCell ref="U10:U11"/>
    <mergeCell ref="V10:V11"/>
    <mergeCell ref="W10:W11"/>
    <mergeCell ref="T9:U9"/>
    <mergeCell ref="V9:W9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Приложение 4</vt:lpstr>
      <vt:lpstr>Приложение 2</vt:lpstr>
      <vt:lpstr>Приложение 5</vt:lpstr>
      <vt:lpstr>Приложение 6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2021-01-28T12:39:27Z</dcterms:modified>
</cp:coreProperties>
</file>